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 userName="Gregor,Lori L" reservationPassword="EC77"/>
  <workbookPr/>
  <workbookProtection workbookAlgorithmName="SHA-512" workbookHashValue="Dx6Yfaqt6AgBEf6XRqf9+qvrhaR1R96o1yD224EA52ASZC7GD2F4XXwlUYlXY5qgQmh23SoLIQ3pX/IVoKkXIw==" workbookSaltValue="MeErf0Qn9nxyRaKAuMHyOA==" workbookSpinCount="100000" lockStructure="1"/>
  <bookViews>
    <workbookView xWindow="0" yWindow="0" windowWidth="20280" windowHeight="7665"/>
  </bookViews>
  <sheets>
    <sheet name="A4EquivSec" sheetId="1" r:id="rId1"/>
    <sheet name="SCHSUM1314" sheetId="2" r:id="rId2"/>
    <sheet name="SCHSUM1213" sheetId="3" r:id="rId3"/>
    <sheet name="A3RCMREV" sheetId="4" r:id="rId4"/>
    <sheet name="A1WCBARESOURCES" sheetId="5" r:id="rId5"/>
    <sheet name="A2WCBAREVEXP" sheetId="6" r:id="rId6"/>
  </sheets>
  <externalReferences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B23" i="6" s="1"/>
  <c r="B19" i="6"/>
  <c r="B17" i="6"/>
  <c r="B16" i="6"/>
  <c r="B15" i="6"/>
  <c r="B10" i="6"/>
  <c r="B9" i="6"/>
  <c r="B8" i="6"/>
  <c r="B7" i="6"/>
  <c r="B6" i="6"/>
  <c r="B5" i="6"/>
  <c r="B29" i="5"/>
  <c r="B30" i="5" s="1"/>
  <c r="B25" i="5"/>
  <c r="B20" i="5"/>
  <c r="B10" i="5"/>
  <c r="B9" i="5"/>
  <c r="B8" i="5"/>
  <c r="B7" i="5"/>
  <c r="B11" i="5" s="1"/>
  <c r="B22" i="5" s="1"/>
  <c r="B6" i="5"/>
  <c r="B5" i="5"/>
  <c r="B11" i="6" l="1"/>
  <c r="B32" i="5"/>
  <c r="C19" i="6"/>
  <c r="C16" i="6"/>
  <c r="C15" i="6"/>
  <c r="C10" i="6"/>
  <c r="C8" i="6"/>
  <c r="C7" i="6"/>
  <c r="C6" i="6"/>
  <c r="C5" i="6"/>
  <c r="C29" i="5"/>
  <c r="C26" i="5"/>
  <c r="C25" i="5"/>
  <c r="C30" i="5" s="1"/>
  <c r="C20" i="5"/>
  <c r="C11" i="5"/>
  <c r="C22" i="5" s="1"/>
  <c r="C32" i="5" s="1"/>
  <c r="C10" i="5"/>
  <c r="C9" i="5"/>
  <c r="C8" i="5"/>
  <c r="C7" i="5"/>
  <c r="C6" i="5"/>
  <c r="C5" i="5"/>
  <c r="C21" i="6" l="1"/>
  <c r="C11" i="6"/>
  <c r="C23" i="6" s="1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B17" i="4" l="1"/>
  <c r="B32" i="4" s="1"/>
  <c r="C17" i="4"/>
  <c r="C24" i="4" s="1"/>
  <c r="D17" i="4"/>
  <c r="D24" i="4" s="1"/>
  <c r="E17" i="4"/>
  <c r="E24" i="4" s="1"/>
  <c r="B24" i="4"/>
  <c r="C32" i="4" l="1"/>
  <c r="D12" i="1"/>
  <c r="D11" i="1"/>
  <c r="D10" i="1"/>
  <c r="D9" i="1"/>
  <c r="D8" i="1"/>
  <c r="D7" i="1"/>
  <c r="D6" i="1"/>
  <c r="F44" i="3"/>
  <c r="D14" i="1" l="1"/>
  <c r="E36" i="2"/>
  <c r="D36" i="2"/>
  <c r="C36" i="2"/>
  <c r="F35" i="2"/>
  <c r="F36" i="2" s="1"/>
  <c r="F34" i="2"/>
  <c r="F33" i="2"/>
  <c r="F32" i="2"/>
  <c r="E31" i="2"/>
  <c r="D31" i="2"/>
  <c r="C31" i="2"/>
  <c r="F30" i="2"/>
  <c r="F31" i="2" s="1"/>
  <c r="F29" i="2"/>
  <c r="F28" i="2"/>
  <c r="E27" i="2"/>
  <c r="D27" i="2"/>
  <c r="C27" i="2"/>
  <c r="F26" i="2"/>
  <c r="F25" i="2"/>
  <c r="F24" i="2"/>
  <c r="F27" i="2" s="1"/>
  <c r="E23" i="2"/>
  <c r="D23" i="2"/>
  <c r="C23" i="2"/>
  <c r="F22" i="2"/>
  <c r="F21" i="2"/>
  <c r="F20" i="2"/>
  <c r="F23" i="2" s="1"/>
  <c r="E19" i="2"/>
  <c r="D19" i="2"/>
  <c r="C19" i="2"/>
  <c r="F18" i="2"/>
  <c r="F17" i="2"/>
  <c r="F16" i="2"/>
  <c r="F15" i="2"/>
  <c r="F19" i="2" s="1"/>
  <c r="E14" i="2"/>
  <c r="E38" i="2" s="1"/>
  <c r="D14" i="2"/>
  <c r="D38" i="2" s="1"/>
  <c r="C14" i="2"/>
  <c r="C38" i="2" s="1"/>
  <c r="F13" i="2"/>
  <c r="F12" i="2"/>
  <c r="F14" i="2" s="1"/>
  <c r="E14" i="1"/>
  <c r="C14" i="1"/>
  <c r="B11" i="1"/>
  <c r="B10" i="1"/>
  <c r="B9" i="1"/>
  <c r="B8" i="1"/>
  <c r="B7" i="1"/>
  <c r="B6" i="1"/>
  <c r="B14" i="1" l="1"/>
  <c r="F38" i="2"/>
</calcChain>
</file>

<file path=xl/sharedStrings.xml><?xml version="1.0" encoding="utf-8"?>
<sst xmlns="http://schemas.openxmlformats.org/spreadsheetml/2006/main" count="199" uniqueCount="124">
  <si>
    <t>EQUIVALENT SECTIONS</t>
  </si>
  <si>
    <t>DEPARTMENT</t>
  </si>
  <si>
    <t>FSOA</t>
  </si>
  <si>
    <t>FIRE</t>
  </si>
  <si>
    <t>ENT</t>
  </si>
  <si>
    <t>ISOM</t>
  </si>
  <si>
    <t>MGT</t>
  </si>
  <si>
    <t>MAR</t>
  </si>
  <si>
    <t>CMC</t>
  </si>
  <si>
    <t xml:space="preserve">  TOTALS</t>
  </si>
  <si>
    <t>*EP counts as 1 section per semester offered.</t>
  </si>
  <si>
    <t xml:space="preserve">Description: </t>
  </si>
  <si>
    <t>SCH and Enrollment by Term, Department, and Level</t>
  </si>
  <si>
    <t xml:space="preserve">Source Report: </t>
  </si>
  <si>
    <t>Preliminary SCH and Enrollment</t>
  </si>
  <si>
    <t xml:space="preserve">Retrieved: </t>
  </si>
  <si>
    <t>6/10/2014 8:22:58 AM</t>
  </si>
  <si>
    <t xml:space="preserve">SQL object: </t>
  </si>
  <si>
    <t>rp_Stats_SCH_Prelim</t>
  </si>
  <si>
    <t>Start Term:</t>
  </si>
  <si>
    <t>Summer 2013</t>
  </si>
  <si>
    <t>End Term:</t>
  </si>
  <si>
    <t>Spring 2014</t>
  </si>
  <si>
    <t>Department:</t>
  </si>
  <si>
    <t>SUM OF FUNDED SCH</t>
  </si>
  <si>
    <t>Department</t>
  </si>
  <si>
    <t>Course Level</t>
  </si>
  <si>
    <t>Fall 2013</t>
  </si>
  <si>
    <t>Grand Total</t>
  </si>
  <si>
    <t>DEAN</t>
  </si>
  <si>
    <t>GRAD</t>
  </si>
  <si>
    <t>UPPER</t>
  </si>
  <si>
    <t>DEAN TOTAL</t>
  </si>
  <si>
    <t>LOWER</t>
  </si>
  <si>
    <t>T/D</t>
  </si>
  <si>
    <t>FIRE TOTAL</t>
  </si>
  <si>
    <t>FSOA TOTAL</t>
  </si>
  <si>
    <t>ISOM TOTAL</t>
  </si>
  <si>
    <t>MGT TOTAL</t>
  </si>
  <si>
    <t>MKG</t>
  </si>
  <si>
    <t>MKG TOTAL</t>
  </si>
  <si>
    <t>GRAND TOTALS</t>
  </si>
  <si>
    <t>7/10/2013 10:12:04 AM</t>
  </si>
  <si>
    <t>Summer 2012</t>
  </si>
  <si>
    <t>Spring 2013</t>
  </si>
  <si>
    <t>CourseLevel</t>
  </si>
  <si>
    <t>Fall 2012</t>
  </si>
  <si>
    <t>DEAN Total</t>
  </si>
  <si>
    <t>FIRE Total</t>
  </si>
  <si>
    <t>FSOA Total</t>
  </si>
  <si>
    <t>ISOM Total</t>
  </si>
  <si>
    <t>MGT Total</t>
  </si>
  <si>
    <t>MKG Total</t>
  </si>
  <si>
    <t>All departments except ECO</t>
  </si>
  <si>
    <t>SUM13-SPR14</t>
  </si>
  <si>
    <t>SUM12-SPR13</t>
  </si>
  <si>
    <t>UNDERGRADUATE 4 CR HRS*</t>
  </si>
  <si>
    <t>GRADUATE 3 CR HRS</t>
  </si>
  <si>
    <t>RCM REVENUE GENERATION PER FACULTY LOAD (ON-BOOK)</t>
  </si>
  <si>
    <t>Lower</t>
  </si>
  <si>
    <t>Upper</t>
  </si>
  <si>
    <t>Assumptions:</t>
  </si>
  <si>
    <t>Division</t>
  </si>
  <si>
    <t>Grad I</t>
  </si>
  <si>
    <t>Grad II</t>
  </si>
  <si>
    <t>In-State Student %</t>
  </si>
  <si>
    <t>Out-State Student %</t>
  </si>
  <si>
    <t>WCBA Major</t>
  </si>
  <si>
    <t>Non-WCBA Major</t>
  </si>
  <si>
    <t>In-State, WCBA Major</t>
  </si>
  <si>
    <t>Out-State, WCBA Major</t>
  </si>
  <si>
    <t>In-State, Non-WCBA Major</t>
  </si>
  <si>
    <t>Out-State, Non-WCBA Major</t>
  </si>
  <si>
    <t>Average Revenue per Cr Hr</t>
  </si>
  <si>
    <t>Teaching Load (Elective Course):</t>
  </si>
  <si>
    <t>Number of Students per Course</t>
  </si>
  <si>
    <t>Number of Cr Hrs per Course</t>
  </si>
  <si>
    <t>Number of Courses</t>
  </si>
  <si>
    <t>Total Revenue per Faculty Load</t>
  </si>
  <si>
    <t>Teaching Load (EP Course):</t>
  </si>
  <si>
    <t>Total Revenue per EP Faculty Load</t>
  </si>
  <si>
    <t>STATE RESOURCES:</t>
  </si>
  <si>
    <t>Revenues:</t>
  </si>
  <si>
    <t>Appropriation &amp; Tuition From RCM Model After Subvention &amp; SCH Taxes</t>
  </si>
  <si>
    <t>Raise Funding FY11, FY12, FY14 &amp; FY15</t>
  </si>
  <si>
    <t>Prior Year Strategic Funding plus Jump Start</t>
  </si>
  <si>
    <t>Provost Advances for Faculty</t>
  </si>
  <si>
    <t>Graduate Fellowships and Waiver Authority</t>
  </si>
  <si>
    <t>Additional Adjustments incl 1% Subvention</t>
  </si>
  <si>
    <t xml:space="preserve">  Total State Revenue Before Overhead</t>
  </si>
  <si>
    <t>Overhead Taxes:</t>
  </si>
  <si>
    <t>Information Technology</t>
  </si>
  <si>
    <t>General Administration</t>
  </si>
  <si>
    <t>Student Services</t>
  </si>
  <si>
    <t>Facilities</t>
  </si>
  <si>
    <t>Libraries</t>
  </si>
  <si>
    <t>Sponsored Project Administration</t>
  </si>
  <si>
    <t xml:space="preserve">  Total Overhead Taxes</t>
  </si>
  <si>
    <t>NET STATE RESOURCES</t>
  </si>
  <si>
    <t>OTHER RESOURCES:</t>
  </si>
  <si>
    <t>Entrepreneurial Activities</t>
  </si>
  <si>
    <t>Contracts &amp; Grants</t>
  </si>
  <si>
    <t>Endowment Earnings &amp; Gifts Transfers</t>
  </si>
  <si>
    <t>Miscellaneous Revenue</t>
  </si>
  <si>
    <t xml:space="preserve">  Total Other Resources</t>
  </si>
  <si>
    <t>TOTAL WCBA BUDGET FY 2014-15</t>
  </si>
  <si>
    <t>PROJECTED REVENUES</t>
  </si>
  <si>
    <t xml:space="preserve">State Resources Net of Subvention &amp; Taxes </t>
  </si>
  <si>
    <t>Entrepreneurial Activities Operating Revenues</t>
  </si>
  <si>
    <t>Endowment Earnings &amp; Gift Transfers</t>
  </si>
  <si>
    <t xml:space="preserve">  Total Projected Revenues</t>
  </si>
  <si>
    <t>PROJECTED EXPENSES</t>
  </si>
  <si>
    <t>Salaries and Benefits</t>
  </si>
  <si>
    <t>Other Personnel Services</t>
  </si>
  <si>
    <t>Operating Expenses</t>
  </si>
  <si>
    <t>Scholarship &amp; Financial Aid</t>
  </si>
  <si>
    <t>Waivers &amp; Fellowships</t>
  </si>
  <si>
    <t xml:space="preserve">  Total Projected Expenses</t>
  </si>
  <si>
    <t>PROJECTED NET</t>
  </si>
  <si>
    <t>FY 2014-15</t>
  </si>
  <si>
    <t>Interest Income</t>
  </si>
  <si>
    <t>FY 2013-14</t>
  </si>
  <si>
    <t>WCBA RESOURCES</t>
  </si>
  <si>
    <t>WCBA PROJECTED REVENUES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</si>
</sst>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quotePrefix="1"/>
    <xf numFmtId="164" fontId="0" fillId="0" borderId="0" xfId="1" applyNumberFormat="1" applyFont="1"/>
    <xf numFmtId="164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0" fillId="0" borderId="3" xfId="0" applyBorder="1"/>
    <xf numFmtId="164" fontId="2" fillId="0" borderId="3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0" fillId="0" borderId="4" xfId="0" applyBorder="1"/>
    <xf numFmtId="164" fontId="2" fillId="0" borderId="4" xfId="1" applyNumberFormat="1" applyFont="1" applyBorder="1"/>
    <xf numFmtId="164" fontId="0" fillId="0" borderId="4" xfId="1" applyNumberFormat="1" applyFont="1" applyBorder="1"/>
    <xf numFmtId="164" fontId="1" fillId="0" borderId="0" xfId="1" applyNumberFormat="1" applyFont="1"/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9" fontId="1" fillId="0" borderId="0" xfId="3" applyNumberFormat="1" applyFont="1"/>
    <xf numFmtId="9" fontId="1" fillId="0" borderId="0" xfId="3" applyFont="1"/>
    <xf numFmtId="44" fontId="1" fillId="0" borderId="0" xfId="2" applyFont="1"/>
    <xf numFmtId="165" fontId="0" fillId="0" borderId="0" xfId="2" applyNumberFormat="1" applyFont="1"/>
    <xf numFmtId="0" fontId="2" fillId="0" borderId="2" xfId="0" applyFont="1" applyBorder="1"/>
    <xf numFmtId="0" fontId="2" fillId="0" borderId="0" xfId="0" applyFont="1" applyBorder="1"/>
    <xf numFmtId="165" fontId="0" fillId="0" borderId="0" xfId="0" applyNumberFormat="1"/>
    <xf numFmtId="165" fontId="7" fillId="0" borderId="0" xfId="0" applyNumberFormat="1" applyFont="1"/>
    <xf numFmtId="165" fontId="7" fillId="0" borderId="0" xfId="2" applyNumberFormat="1" applyFont="1"/>
    <xf numFmtId="165" fontId="2" fillId="0" borderId="0" xfId="2" applyNumberFormat="1" applyFont="1"/>
    <xf numFmtId="0" fontId="0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0" borderId="0" xfId="2" applyNumberFormat="1" applyFont="1" applyAlignment="1">
      <alignment horizontal="center"/>
    </xf>
    <xf numFmtId="44" fontId="0" fillId="0" borderId="0" xfId="0" applyNumberFormat="1"/>
    <xf numFmtId="165" fontId="1" fillId="0" borderId="0" xfId="2" applyNumberFormat="1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BA\RCM%20Reports\RCM%20WCBA%20PER%20CR%20HR%20EXAMPLE%2014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BA\WCBA%20Reports\WCBA%20Advisory%20Board%20Meeting%202014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BA\WCBA%20Reports\WCBA%20FY%202015%20Budget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RHR"/>
      <sheetName val="ClassMixExample"/>
      <sheetName val="Control"/>
    </sheetNames>
    <sheetDataSet>
      <sheetData sheetId="0">
        <row r="8">
          <cell r="B8">
            <v>100.76</v>
          </cell>
          <cell r="C8">
            <v>47.24</v>
          </cell>
          <cell r="D8">
            <v>316.11</v>
          </cell>
          <cell r="E8">
            <v>47.24</v>
          </cell>
        </row>
        <row r="9">
          <cell r="B9">
            <v>137.01</v>
          </cell>
          <cell r="C9">
            <v>78.2</v>
          </cell>
          <cell r="D9">
            <v>352.36</v>
          </cell>
          <cell r="E9">
            <v>78.2</v>
          </cell>
        </row>
        <row r="10">
          <cell r="B10">
            <v>528.84</v>
          </cell>
          <cell r="C10">
            <v>334.93</v>
          </cell>
          <cell r="D10">
            <v>739.01</v>
          </cell>
          <cell r="E10">
            <v>334.93</v>
          </cell>
        </row>
        <row r="11">
          <cell r="B11">
            <v>1313.39</v>
          </cell>
          <cell r="C11">
            <v>1004.91</v>
          </cell>
          <cell r="D11">
            <v>1523.56</v>
          </cell>
          <cell r="E11">
            <v>1004.91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BAC2"/>
      <sheetName val="Notes"/>
      <sheetName val="BAC1"/>
    </sheetNames>
    <sheetDataSet>
      <sheetData sheetId="0">
        <row r="5">
          <cell r="B5">
            <v>33316285</v>
          </cell>
        </row>
        <row r="6">
          <cell r="B6">
            <v>495934</v>
          </cell>
        </row>
        <row r="7">
          <cell r="B7">
            <v>1777962</v>
          </cell>
        </row>
        <row r="8">
          <cell r="B8">
            <v>939060</v>
          </cell>
        </row>
        <row r="9">
          <cell r="B9">
            <v>2084392</v>
          </cell>
        </row>
        <row r="10">
          <cell r="B10">
            <v>-423536</v>
          </cell>
        </row>
        <row r="11">
          <cell r="B11">
            <v>-242742</v>
          </cell>
        </row>
        <row r="12">
          <cell r="B12">
            <v>749412</v>
          </cell>
        </row>
        <row r="13">
          <cell r="B13">
            <v>767030</v>
          </cell>
        </row>
        <row r="27">
          <cell r="B27">
            <v>1095162</v>
          </cell>
        </row>
        <row r="28">
          <cell r="B28">
            <v>25660</v>
          </cell>
        </row>
        <row r="29">
          <cell r="B29">
            <v>479940</v>
          </cell>
        </row>
        <row r="30">
          <cell r="B30">
            <v>252600</v>
          </cell>
        </row>
        <row r="31">
          <cell r="B31">
            <v>233655</v>
          </cell>
        </row>
        <row r="32">
          <cell r="B32">
            <v>25167</v>
          </cell>
        </row>
        <row r="33">
          <cell r="B33">
            <v>387722</v>
          </cell>
        </row>
        <row r="34">
          <cell r="B34">
            <v>762000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urces"/>
      <sheetName val="RevExp"/>
    </sheetNames>
    <sheetDataSet>
      <sheetData sheetId="0">
        <row r="9">
          <cell r="B9">
            <v>1057361</v>
          </cell>
        </row>
        <row r="22">
          <cell r="B22">
            <v>26909695</v>
          </cell>
        </row>
        <row r="25">
          <cell r="B25">
            <v>23402629</v>
          </cell>
        </row>
        <row r="26">
          <cell r="B26">
            <v>307974</v>
          </cell>
        </row>
        <row r="27">
          <cell r="B27">
            <v>6049118</v>
          </cell>
        </row>
        <row r="28">
          <cell r="B28">
            <v>94193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7" sqref="J17"/>
    </sheetView>
  </sheetViews>
  <sheetFormatPr defaultRowHeight="15" x14ac:dyDescent="0.25"/>
  <cols>
    <col min="1" max="1" width="20.7109375" customWidth="1"/>
    <col min="2" max="5" width="15.7109375" customWidth="1"/>
  </cols>
  <sheetData>
    <row r="1" spans="1:5" ht="15.75" x14ac:dyDescent="0.25">
      <c r="A1" s="42" t="s">
        <v>0</v>
      </c>
      <c r="B1" s="42"/>
      <c r="C1" s="42"/>
      <c r="D1" s="42"/>
      <c r="E1" s="42"/>
    </row>
    <row r="4" spans="1:5" x14ac:dyDescent="0.25">
      <c r="B4" s="43" t="s">
        <v>56</v>
      </c>
      <c r="C4" s="43"/>
      <c r="D4" s="43" t="s">
        <v>57</v>
      </c>
      <c r="E4" s="43"/>
    </row>
    <row r="5" spans="1:5" x14ac:dyDescent="0.25">
      <c r="A5" s="23" t="s">
        <v>1</v>
      </c>
      <c r="B5" s="20" t="s">
        <v>54</v>
      </c>
      <c r="C5" s="20" t="s">
        <v>55</v>
      </c>
      <c r="D5" s="2" t="s">
        <v>54</v>
      </c>
      <c r="E5" s="20" t="s">
        <v>55</v>
      </c>
    </row>
    <row r="6" spans="1:5" x14ac:dyDescent="0.25">
      <c r="A6" t="s">
        <v>2</v>
      </c>
      <c r="B6" s="21">
        <f>6+19.5</f>
        <v>25.5</v>
      </c>
      <c r="C6" s="21">
        <v>26.5</v>
      </c>
      <c r="D6" s="3">
        <f>55*0.666667</f>
        <v>36.666685000000001</v>
      </c>
      <c r="E6" s="21">
        <v>33.700000000000003</v>
      </c>
    </row>
    <row r="7" spans="1:5" x14ac:dyDescent="0.25">
      <c r="A7" t="s">
        <v>3</v>
      </c>
      <c r="B7" s="21">
        <f>2+33</f>
        <v>35</v>
      </c>
      <c r="C7" s="21">
        <v>30.5</v>
      </c>
      <c r="D7" s="3">
        <f>(4+58)*0.666667</f>
        <v>41.333354</v>
      </c>
      <c r="E7" s="21">
        <v>44.7</v>
      </c>
    </row>
    <row r="8" spans="1:5" x14ac:dyDescent="0.25">
      <c r="A8" t="s">
        <v>4</v>
      </c>
      <c r="B8" s="21">
        <f>3+4.5</f>
        <v>7.5</v>
      </c>
      <c r="C8" s="21">
        <v>6.5</v>
      </c>
      <c r="D8" s="3">
        <f>31*0.666667</f>
        <v>20.666677</v>
      </c>
      <c r="E8" s="21">
        <v>18</v>
      </c>
    </row>
    <row r="9" spans="1:5" x14ac:dyDescent="0.25">
      <c r="A9" t="s">
        <v>5</v>
      </c>
      <c r="B9" s="21">
        <f>7+14</f>
        <v>21</v>
      </c>
      <c r="C9" s="21">
        <v>21</v>
      </c>
      <c r="D9" s="3">
        <f>63*0.666667</f>
        <v>42.000021000000004</v>
      </c>
      <c r="E9" s="21">
        <v>50</v>
      </c>
    </row>
    <row r="10" spans="1:5" x14ac:dyDescent="0.25">
      <c r="A10" t="s">
        <v>6</v>
      </c>
      <c r="B10" s="21">
        <f>2+6+18</f>
        <v>26</v>
      </c>
      <c r="C10" s="21">
        <v>26</v>
      </c>
      <c r="D10" s="3">
        <f>51*0.666667</f>
        <v>34.000017</v>
      </c>
      <c r="E10" s="21">
        <v>32.299999999999997</v>
      </c>
    </row>
    <row r="11" spans="1:5" x14ac:dyDescent="0.25">
      <c r="A11" t="s">
        <v>7</v>
      </c>
      <c r="B11" s="21">
        <f>3+26.5</f>
        <v>29.5</v>
      </c>
      <c r="C11" s="21">
        <v>28.5</v>
      </c>
      <c r="D11" s="3">
        <f>(2+21.5)*0.666667</f>
        <v>15.666674500000001</v>
      </c>
      <c r="E11" s="21">
        <v>15.3</v>
      </c>
    </row>
    <row r="12" spans="1:5" x14ac:dyDescent="0.25">
      <c r="A12" t="s">
        <v>8</v>
      </c>
      <c r="B12" s="21">
        <v>51.25</v>
      </c>
      <c r="C12" s="21">
        <v>42</v>
      </c>
      <c r="D12" s="3">
        <f>33.5*0.666667</f>
        <v>22.333344499999999</v>
      </c>
      <c r="E12" s="21">
        <v>22.3</v>
      </c>
    </row>
    <row r="13" spans="1:5" x14ac:dyDescent="0.25">
      <c r="B13" s="21"/>
      <c r="C13" s="22"/>
      <c r="D13" s="4"/>
      <c r="E13" s="22"/>
    </row>
    <row r="14" spans="1:5" x14ac:dyDescent="0.25">
      <c r="A14" t="s">
        <v>9</v>
      </c>
      <c r="B14" s="21">
        <f>SUM(B6:B12)</f>
        <v>195.75</v>
      </c>
      <c r="C14" s="21">
        <f>SUM(C6:C12)</f>
        <v>181</v>
      </c>
      <c r="D14" s="3">
        <f>SUM(D6:D12)</f>
        <v>212.66677300000003</v>
      </c>
      <c r="E14" s="21">
        <f>SUM(E6:E12)</f>
        <v>216.3</v>
      </c>
    </row>
    <row r="16" spans="1:5" x14ac:dyDescent="0.25">
      <c r="A16" t="s">
        <v>10</v>
      </c>
    </row>
    <row r="19" spans="1:1" x14ac:dyDescent="0.25">
      <c r="A19" s="5">
        <v>41801</v>
      </c>
    </row>
  </sheetData>
  <sheetProtection password="EC77" sheet="1" objects="1" scenarios="1"/>
  <mergeCells count="3">
    <mergeCell ref="A1:E1"/>
    <mergeCell ref="B4:C4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workbookViewId="0">
      <selection activeCell="F38" sqref="F38"/>
    </sheetView>
  </sheetViews>
  <sheetFormatPr defaultRowHeight="15" x14ac:dyDescent="0.25"/>
  <cols>
    <col min="1" max="6" width="15.7109375" customWidth="1"/>
  </cols>
  <sheetData>
    <row r="1" spans="1:6" x14ac:dyDescent="0.25">
      <c r="A1" t="s">
        <v>11</v>
      </c>
      <c r="B1" s="6" t="s">
        <v>12</v>
      </c>
      <c r="C1" s="7"/>
      <c r="D1" s="7"/>
      <c r="E1" s="7"/>
      <c r="F1" s="7"/>
    </row>
    <row r="2" spans="1:6" x14ac:dyDescent="0.25">
      <c r="A2" t="s">
        <v>13</v>
      </c>
      <c r="B2" t="s">
        <v>14</v>
      </c>
      <c r="C2" s="7"/>
      <c r="D2" s="7"/>
      <c r="E2" s="7"/>
      <c r="F2" s="7"/>
    </row>
    <row r="3" spans="1:6" x14ac:dyDescent="0.25">
      <c r="A3" t="s">
        <v>15</v>
      </c>
      <c r="B3" s="6" t="s">
        <v>16</v>
      </c>
      <c r="C3" s="7"/>
      <c r="D3" s="7"/>
      <c r="E3" s="7"/>
      <c r="F3" s="7"/>
    </row>
    <row r="4" spans="1:6" x14ac:dyDescent="0.25">
      <c r="A4" t="s">
        <v>17</v>
      </c>
      <c r="B4" t="s">
        <v>18</v>
      </c>
      <c r="C4" s="7"/>
      <c r="D4" s="7"/>
      <c r="E4" s="7"/>
      <c r="F4" s="7"/>
    </row>
    <row r="5" spans="1:6" x14ac:dyDescent="0.25">
      <c r="A5" t="s">
        <v>19</v>
      </c>
      <c r="B5" t="s">
        <v>20</v>
      </c>
      <c r="C5" s="7"/>
      <c r="D5" s="7"/>
      <c r="E5" s="7"/>
      <c r="F5" s="7"/>
    </row>
    <row r="6" spans="1:6" x14ac:dyDescent="0.25">
      <c r="A6" t="s">
        <v>21</v>
      </c>
      <c r="B6" t="s">
        <v>22</v>
      </c>
      <c r="C6" s="7"/>
      <c r="D6" s="7"/>
      <c r="E6" s="7"/>
      <c r="F6" s="7"/>
    </row>
    <row r="7" spans="1:6" x14ac:dyDescent="0.25">
      <c r="A7" t="s">
        <v>23</v>
      </c>
      <c r="B7" t="s">
        <v>53</v>
      </c>
      <c r="C7" s="7"/>
      <c r="D7" s="7"/>
      <c r="E7" s="7"/>
      <c r="F7" s="7"/>
    </row>
    <row r="8" spans="1:6" x14ac:dyDescent="0.25">
      <c r="C8" s="7"/>
      <c r="D8" s="7"/>
      <c r="E8" s="7"/>
      <c r="F8" s="7"/>
    </row>
    <row r="9" spans="1:6" x14ac:dyDescent="0.25">
      <c r="C9" s="7"/>
      <c r="D9" s="7"/>
      <c r="E9" s="7"/>
      <c r="F9" s="7"/>
    </row>
    <row r="10" spans="1:6" x14ac:dyDescent="0.25">
      <c r="C10" s="43" t="s">
        <v>24</v>
      </c>
      <c r="D10" s="43"/>
      <c r="E10" s="43"/>
      <c r="F10" s="43"/>
    </row>
    <row r="11" spans="1:6" ht="17.25" x14ac:dyDescent="0.4">
      <c r="A11" s="8" t="s">
        <v>25</v>
      </c>
      <c r="B11" s="8" t="s">
        <v>26</v>
      </c>
      <c r="C11" s="9" t="s">
        <v>20</v>
      </c>
      <c r="D11" s="9" t="s">
        <v>27</v>
      </c>
      <c r="E11" s="9" t="s">
        <v>22</v>
      </c>
      <c r="F11" s="9" t="s">
        <v>28</v>
      </c>
    </row>
    <row r="12" spans="1:6" x14ac:dyDescent="0.25">
      <c r="A12" s="10" t="s">
        <v>29</v>
      </c>
      <c r="B12" t="s">
        <v>30</v>
      </c>
      <c r="C12" s="7">
        <v>266</v>
      </c>
      <c r="D12" s="7">
        <v>552</v>
      </c>
      <c r="E12" s="7">
        <v>762</v>
      </c>
      <c r="F12" s="7">
        <f>SUM(C12:E12)</f>
        <v>1580</v>
      </c>
    </row>
    <row r="13" spans="1:6" x14ac:dyDescent="0.25">
      <c r="A13" s="10"/>
      <c r="B13" t="s">
        <v>31</v>
      </c>
      <c r="C13" s="7">
        <v>1377</v>
      </c>
      <c r="D13" s="7">
        <v>4787</v>
      </c>
      <c r="E13" s="7">
        <v>5203</v>
      </c>
      <c r="F13" s="7">
        <f>SUM(C13:E13)</f>
        <v>11367</v>
      </c>
    </row>
    <row r="14" spans="1:6" x14ac:dyDescent="0.25">
      <c r="A14" s="11" t="s">
        <v>32</v>
      </c>
      <c r="B14" s="12"/>
      <c r="C14" s="13">
        <f>SUM(C12:C13)</f>
        <v>1643</v>
      </c>
      <c r="D14" s="13">
        <f>SUM(D12:D13)</f>
        <v>5339</v>
      </c>
      <c r="E14" s="13">
        <f>SUM(E12:E13)</f>
        <v>5965</v>
      </c>
      <c r="F14" s="13">
        <f>SUM(F12:F13)</f>
        <v>12947</v>
      </c>
    </row>
    <row r="15" spans="1:6" x14ac:dyDescent="0.25">
      <c r="A15" s="10" t="s">
        <v>3</v>
      </c>
      <c r="B15" t="s">
        <v>30</v>
      </c>
      <c r="C15" s="7">
        <v>621</v>
      </c>
      <c r="D15" s="7">
        <v>2175</v>
      </c>
      <c r="E15" s="7">
        <v>2744</v>
      </c>
      <c r="F15" s="7">
        <f>SUM(C15:E15)</f>
        <v>5540</v>
      </c>
    </row>
    <row r="16" spans="1:6" x14ac:dyDescent="0.25">
      <c r="A16" s="10"/>
      <c r="B16" t="s">
        <v>33</v>
      </c>
      <c r="C16" s="7">
        <v>2</v>
      </c>
      <c r="D16" s="7">
        <v>5</v>
      </c>
      <c r="E16" s="7"/>
      <c r="F16" s="7">
        <f>SUM(C16:E16)</f>
        <v>7</v>
      </c>
    </row>
    <row r="17" spans="1:6" x14ac:dyDescent="0.25">
      <c r="A17" s="10"/>
      <c r="B17" t="s">
        <v>34</v>
      </c>
      <c r="C17" s="7">
        <v>38</v>
      </c>
      <c r="D17" s="7">
        <v>45</v>
      </c>
      <c r="E17" s="7">
        <v>60</v>
      </c>
      <c r="F17" s="7">
        <f>SUM(C17:E17)</f>
        <v>143</v>
      </c>
    </row>
    <row r="18" spans="1:6" x14ac:dyDescent="0.25">
      <c r="A18" s="10"/>
      <c r="B18" t="s">
        <v>31</v>
      </c>
      <c r="C18" s="7">
        <v>3317</v>
      </c>
      <c r="D18" s="7">
        <v>8273</v>
      </c>
      <c r="E18" s="7">
        <v>8558</v>
      </c>
      <c r="F18" s="7">
        <f>SUM(C18:E18)</f>
        <v>20148</v>
      </c>
    </row>
    <row r="19" spans="1:6" x14ac:dyDescent="0.25">
      <c r="A19" s="11" t="s">
        <v>35</v>
      </c>
      <c r="B19" s="12"/>
      <c r="C19" s="13">
        <f>SUM(C15:C18)</f>
        <v>3978</v>
      </c>
      <c r="D19" s="13">
        <f t="shared" ref="D19:F19" si="0">SUM(D15:D18)</f>
        <v>10498</v>
      </c>
      <c r="E19" s="13">
        <f t="shared" si="0"/>
        <v>11362</v>
      </c>
      <c r="F19" s="13">
        <f t="shared" si="0"/>
        <v>25838</v>
      </c>
    </row>
    <row r="20" spans="1:6" x14ac:dyDescent="0.25">
      <c r="A20" s="10" t="s">
        <v>2</v>
      </c>
      <c r="B20" t="s">
        <v>30</v>
      </c>
      <c r="C20" s="7">
        <v>302</v>
      </c>
      <c r="D20" s="7">
        <v>2090</v>
      </c>
      <c r="E20" s="7">
        <v>1763</v>
      </c>
      <c r="F20" s="7">
        <f>SUM(C20:E20)</f>
        <v>4155</v>
      </c>
    </row>
    <row r="21" spans="1:6" x14ac:dyDescent="0.25">
      <c r="A21" s="10"/>
      <c r="B21" t="s">
        <v>33</v>
      </c>
      <c r="C21" s="7">
        <v>2104</v>
      </c>
      <c r="D21" s="7">
        <v>5072</v>
      </c>
      <c r="E21" s="7">
        <v>4312</v>
      </c>
      <c r="F21" s="7">
        <f t="shared" ref="F21:F22" si="1">SUM(C21:E21)</f>
        <v>11488</v>
      </c>
    </row>
    <row r="22" spans="1:6" x14ac:dyDescent="0.25">
      <c r="A22" s="10"/>
      <c r="B22" t="s">
        <v>31</v>
      </c>
      <c r="C22" s="7">
        <v>208</v>
      </c>
      <c r="D22" s="7">
        <v>2222</v>
      </c>
      <c r="E22" s="7">
        <v>2244</v>
      </c>
      <c r="F22" s="7">
        <f t="shared" si="1"/>
        <v>4674</v>
      </c>
    </row>
    <row r="23" spans="1:6" x14ac:dyDescent="0.25">
      <c r="A23" s="11" t="s">
        <v>36</v>
      </c>
      <c r="B23" s="12"/>
      <c r="C23" s="13">
        <f>SUM(C20:C22)</f>
        <v>2614</v>
      </c>
      <c r="D23" s="13">
        <f t="shared" ref="D23:F23" si="2">SUM(D20:D22)</f>
        <v>9384</v>
      </c>
      <c r="E23" s="13">
        <f t="shared" si="2"/>
        <v>8319</v>
      </c>
      <c r="F23" s="13">
        <f t="shared" si="2"/>
        <v>20317</v>
      </c>
    </row>
    <row r="24" spans="1:6" x14ac:dyDescent="0.25">
      <c r="A24" s="10" t="s">
        <v>5</v>
      </c>
      <c r="B24" t="s">
        <v>30</v>
      </c>
      <c r="C24" s="7">
        <v>278</v>
      </c>
      <c r="D24" s="7">
        <v>3547</v>
      </c>
      <c r="E24" s="7">
        <v>2605</v>
      </c>
      <c r="F24" s="7">
        <f>SUM(C24:E24)</f>
        <v>6430</v>
      </c>
    </row>
    <row r="25" spans="1:6" x14ac:dyDescent="0.25">
      <c r="A25" s="10"/>
      <c r="B25" t="s">
        <v>34</v>
      </c>
      <c r="C25" s="7">
        <v>6</v>
      </c>
      <c r="D25" s="7">
        <v>9</v>
      </c>
      <c r="E25" s="7">
        <v>3</v>
      </c>
      <c r="F25" s="7">
        <f>SUM(C25:E25)</f>
        <v>18</v>
      </c>
    </row>
    <row r="26" spans="1:6" x14ac:dyDescent="0.25">
      <c r="A26" s="10"/>
      <c r="B26" t="s">
        <v>31</v>
      </c>
      <c r="C26" s="7">
        <v>546</v>
      </c>
      <c r="D26" s="7">
        <v>6406</v>
      </c>
      <c r="E26" s="7">
        <v>7223</v>
      </c>
      <c r="F26" s="7">
        <f>SUM(C26:E26)</f>
        <v>14175</v>
      </c>
    </row>
    <row r="27" spans="1:6" x14ac:dyDescent="0.25">
      <c r="A27" s="11" t="s">
        <v>37</v>
      </c>
      <c r="B27" s="12"/>
      <c r="C27" s="13">
        <f>SUM(C24:C26)</f>
        <v>830</v>
      </c>
      <c r="D27" s="13">
        <f t="shared" ref="D27:F27" si="3">SUM(D24:D26)</f>
        <v>9962</v>
      </c>
      <c r="E27" s="13">
        <f t="shared" si="3"/>
        <v>9831</v>
      </c>
      <c r="F27" s="13">
        <f t="shared" si="3"/>
        <v>20623</v>
      </c>
    </row>
    <row r="28" spans="1:6" x14ac:dyDescent="0.25">
      <c r="A28" s="10" t="s">
        <v>6</v>
      </c>
      <c r="B28" t="s">
        <v>30</v>
      </c>
      <c r="C28" s="7">
        <v>466</v>
      </c>
      <c r="D28" s="7">
        <v>1450</v>
      </c>
      <c r="E28" s="7">
        <v>1492</v>
      </c>
      <c r="F28" s="7">
        <f>SUM(C28:E28)</f>
        <v>3408</v>
      </c>
    </row>
    <row r="29" spans="1:6" x14ac:dyDescent="0.25">
      <c r="A29" s="10"/>
      <c r="B29" t="s">
        <v>34</v>
      </c>
      <c r="C29" s="7">
        <v>19</v>
      </c>
      <c r="D29" s="7">
        <v>28</v>
      </c>
      <c r="E29" s="7">
        <v>25</v>
      </c>
      <c r="F29" s="7">
        <f>SUM(C29:E29)</f>
        <v>72</v>
      </c>
    </row>
    <row r="30" spans="1:6" x14ac:dyDescent="0.25">
      <c r="A30" s="10"/>
      <c r="B30" t="s">
        <v>31</v>
      </c>
      <c r="C30" s="7">
        <v>2762</v>
      </c>
      <c r="D30" s="7">
        <v>8149</v>
      </c>
      <c r="E30" s="7">
        <v>7584</v>
      </c>
      <c r="F30" s="7">
        <f>SUM(C30:E30)</f>
        <v>18495</v>
      </c>
    </row>
    <row r="31" spans="1:6" x14ac:dyDescent="0.25">
      <c r="A31" s="11" t="s">
        <v>38</v>
      </c>
      <c r="B31" s="12"/>
      <c r="C31" s="13">
        <f>SUM(C28:C30)</f>
        <v>3247</v>
      </c>
      <c r="D31" s="13">
        <f>SUM(D28:D30)</f>
        <v>9627</v>
      </c>
      <c r="E31" s="13">
        <f>SUM(E28:E30)</f>
        <v>9101</v>
      </c>
      <c r="F31" s="13">
        <f>SUM(F28:F30)</f>
        <v>21975</v>
      </c>
    </row>
    <row r="32" spans="1:6" x14ac:dyDescent="0.25">
      <c r="A32" s="10" t="s">
        <v>39</v>
      </c>
      <c r="B32" t="s">
        <v>30</v>
      </c>
      <c r="C32" s="7">
        <v>53</v>
      </c>
      <c r="D32" s="7">
        <v>516</v>
      </c>
      <c r="E32" s="7">
        <v>608</v>
      </c>
      <c r="F32" s="7">
        <f>SUM(C32:E32)</f>
        <v>1177</v>
      </c>
    </row>
    <row r="33" spans="1:6" x14ac:dyDescent="0.25">
      <c r="B33" t="s">
        <v>33</v>
      </c>
      <c r="C33" s="7">
        <v>9</v>
      </c>
      <c r="D33" s="7">
        <v>130</v>
      </c>
      <c r="E33" s="7">
        <v>72</v>
      </c>
      <c r="F33" s="7">
        <f>SUM(C33:E33)</f>
        <v>211</v>
      </c>
    </row>
    <row r="34" spans="1:6" x14ac:dyDescent="0.25">
      <c r="B34" t="s">
        <v>34</v>
      </c>
      <c r="C34" s="7">
        <v>1</v>
      </c>
      <c r="D34" s="7">
        <v>6</v>
      </c>
      <c r="E34" s="7"/>
      <c r="F34" s="7">
        <f>SUM(C34:E34)</f>
        <v>7</v>
      </c>
    </row>
    <row r="35" spans="1:6" x14ac:dyDescent="0.25">
      <c r="B35" t="s">
        <v>31</v>
      </c>
      <c r="C35" s="7">
        <v>2510</v>
      </c>
      <c r="D35" s="7">
        <v>6321</v>
      </c>
      <c r="E35" s="7">
        <v>5593</v>
      </c>
      <c r="F35" s="7">
        <f>SUM(C35:E35)</f>
        <v>14424</v>
      </c>
    </row>
    <row r="36" spans="1:6" x14ac:dyDescent="0.25">
      <c r="A36" s="11" t="s">
        <v>40</v>
      </c>
      <c r="B36" s="12"/>
      <c r="C36" s="13">
        <f>SUM(C32:C35)</f>
        <v>2573</v>
      </c>
      <c r="D36" s="13">
        <f>SUM(D32:D35)</f>
        <v>6973</v>
      </c>
      <c r="E36" s="13">
        <f>SUM(E32:E35)</f>
        <v>6273</v>
      </c>
      <c r="F36" s="13">
        <f>SUM(F32:F35)</f>
        <v>15819</v>
      </c>
    </row>
    <row r="37" spans="1:6" x14ac:dyDescent="0.25">
      <c r="C37" s="7"/>
      <c r="D37" s="7"/>
      <c r="E37" s="7"/>
      <c r="F37" s="7"/>
    </row>
    <row r="38" spans="1:6" x14ac:dyDescent="0.25">
      <c r="A38" s="10" t="s">
        <v>41</v>
      </c>
      <c r="C38" s="14">
        <f>C14+C19+C23+C27+C31+C36</f>
        <v>14885</v>
      </c>
      <c r="D38" s="14">
        <f>D14+D19+D23+D27+D31+D36</f>
        <v>51783</v>
      </c>
      <c r="E38" s="14">
        <f>E14+E19+E23+E27+E31+E36</f>
        <v>50851</v>
      </c>
      <c r="F38" s="14">
        <f>SUM(C38:E38)</f>
        <v>117519</v>
      </c>
    </row>
  </sheetData>
  <sheetProtection password="EC77" sheet="1" objects="1" scenarios="1"/>
  <mergeCells count="1">
    <mergeCell ref="C10:F10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19" workbookViewId="0">
      <selection activeCell="F44" sqref="F44"/>
    </sheetView>
  </sheetViews>
  <sheetFormatPr defaultRowHeight="15" x14ac:dyDescent="0.25"/>
  <cols>
    <col min="1" max="6" width="15.7109375" customWidth="1"/>
  </cols>
  <sheetData>
    <row r="1" spans="1:6" x14ac:dyDescent="0.25">
      <c r="A1" t="s">
        <v>11</v>
      </c>
      <c r="B1" s="6" t="s">
        <v>12</v>
      </c>
    </row>
    <row r="2" spans="1:6" x14ac:dyDescent="0.25">
      <c r="A2" t="s">
        <v>13</v>
      </c>
      <c r="B2" t="s">
        <v>14</v>
      </c>
    </row>
    <row r="3" spans="1:6" x14ac:dyDescent="0.25">
      <c r="A3" t="s">
        <v>15</v>
      </c>
      <c r="B3" s="6" t="s">
        <v>42</v>
      </c>
    </row>
    <row r="4" spans="1:6" x14ac:dyDescent="0.25">
      <c r="A4" t="s">
        <v>17</v>
      </c>
      <c r="B4" t="s">
        <v>18</v>
      </c>
    </row>
    <row r="5" spans="1:6" x14ac:dyDescent="0.25">
      <c r="A5" t="s">
        <v>19</v>
      </c>
      <c r="B5" t="s">
        <v>43</v>
      </c>
    </row>
    <row r="6" spans="1:6" x14ac:dyDescent="0.25">
      <c r="A6" t="s">
        <v>21</v>
      </c>
      <c r="B6" t="s">
        <v>44</v>
      </c>
    </row>
    <row r="7" spans="1:6" x14ac:dyDescent="0.25">
      <c r="A7" t="s">
        <v>23</v>
      </c>
      <c r="B7" t="s">
        <v>53</v>
      </c>
    </row>
    <row r="10" spans="1:6" x14ac:dyDescent="0.25">
      <c r="C10" s="43" t="s">
        <v>24</v>
      </c>
      <c r="D10" s="43"/>
      <c r="E10" s="43"/>
      <c r="F10" s="43"/>
    </row>
    <row r="11" spans="1:6" x14ac:dyDescent="0.25">
      <c r="A11" s="1" t="s">
        <v>25</v>
      </c>
      <c r="B11" s="1" t="s">
        <v>45</v>
      </c>
      <c r="C11" s="1" t="s">
        <v>43</v>
      </c>
      <c r="D11" s="1" t="s">
        <v>46</v>
      </c>
      <c r="E11" s="1" t="s">
        <v>44</v>
      </c>
      <c r="F11" s="1" t="s">
        <v>28</v>
      </c>
    </row>
    <row r="12" spans="1:6" x14ac:dyDescent="0.25">
      <c r="A12" s="10" t="s">
        <v>29</v>
      </c>
      <c r="B12" t="s">
        <v>30</v>
      </c>
      <c r="C12" s="7">
        <v>252</v>
      </c>
      <c r="D12" s="7">
        <v>668</v>
      </c>
      <c r="E12" s="7">
        <v>675</v>
      </c>
      <c r="F12" s="7">
        <v>1595</v>
      </c>
    </row>
    <row r="13" spans="1:6" x14ac:dyDescent="0.25">
      <c r="B13" t="s">
        <v>33</v>
      </c>
      <c r="C13" s="7"/>
      <c r="D13" s="7">
        <v>7</v>
      </c>
      <c r="E13" s="7">
        <v>2</v>
      </c>
      <c r="F13" s="7">
        <v>9</v>
      </c>
    </row>
    <row r="14" spans="1:6" x14ac:dyDescent="0.25">
      <c r="B14" t="s">
        <v>31</v>
      </c>
      <c r="C14" s="19">
        <v>1113</v>
      </c>
      <c r="D14" s="19">
        <v>4413</v>
      </c>
      <c r="E14" s="19">
        <v>4841</v>
      </c>
      <c r="F14" s="19">
        <v>10367</v>
      </c>
    </row>
    <row r="15" spans="1:6" x14ac:dyDescent="0.25">
      <c r="A15" s="15" t="s">
        <v>47</v>
      </c>
      <c r="B15" s="16"/>
      <c r="C15" s="17">
        <v>1365</v>
      </c>
      <c r="D15" s="17">
        <v>5088</v>
      </c>
      <c r="E15" s="17">
        <v>5518</v>
      </c>
      <c r="F15" s="17">
        <v>11971</v>
      </c>
    </row>
    <row r="16" spans="1:6" x14ac:dyDescent="0.25">
      <c r="A16" s="16"/>
      <c r="B16" s="16"/>
      <c r="C16" s="18"/>
      <c r="D16" s="18"/>
      <c r="E16" s="18"/>
      <c r="F16" s="18"/>
    </row>
    <row r="17" spans="1:6" x14ac:dyDescent="0.25">
      <c r="A17" s="10" t="s">
        <v>3</v>
      </c>
      <c r="B17" t="s">
        <v>30</v>
      </c>
      <c r="C17" s="7">
        <v>645</v>
      </c>
      <c r="D17" s="7">
        <v>2371</v>
      </c>
      <c r="E17" s="7">
        <v>2914</v>
      </c>
      <c r="F17" s="7">
        <v>5930</v>
      </c>
    </row>
    <row r="18" spans="1:6" x14ac:dyDescent="0.25">
      <c r="B18" t="s">
        <v>34</v>
      </c>
      <c r="C18" s="7">
        <v>34</v>
      </c>
      <c r="D18" s="7">
        <v>63</v>
      </c>
      <c r="E18" s="7">
        <v>61</v>
      </c>
      <c r="F18" s="7">
        <v>158</v>
      </c>
    </row>
    <row r="19" spans="1:6" x14ac:dyDescent="0.25">
      <c r="B19" t="s">
        <v>31</v>
      </c>
      <c r="C19" s="19">
        <v>2764</v>
      </c>
      <c r="D19" s="19">
        <v>7788</v>
      </c>
      <c r="E19" s="19">
        <v>7730</v>
      </c>
      <c r="F19" s="19">
        <v>18282</v>
      </c>
    </row>
    <row r="20" spans="1:6" x14ac:dyDescent="0.25">
      <c r="A20" s="15" t="s">
        <v>48</v>
      </c>
      <c r="B20" s="16"/>
      <c r="C20" s="17">
        <v>3443</v>
      </c>
      <c r="D20" s="17">
        <v>10222</v>
      </c>
      <c r="E20" s="17">
        <v>10705</v>
      </c>
      <c r="F20" s="17">
        <v>24370</v>
      </c>
    </row>
    <row r="21" spans="1:6" x14ac:dyDescent="0.25">
      <c r="A21" s="16"/>
      <c r="B21" s="16"/>
      <c r="C21" s="18"/>
      <c r="D21" s="18"/>
      <c r="E21" s="18"/>
      <c r="F21" s="18"/>
    </row>
    <row r="22" spans="1:6" x14ac:dyDescent="0.25">
      <c r="A22" s="10" t="s">
        <v>2</v>
      </c>
      <c r="B22" t="s">
        <v>30</v>
      </c>
      <c r="C22" s="7">
        <v>308</v>
      </c>
      <c r="D22" s="7">
        <v>2197</v>
      </c>
      <c r="E22" s="7">
        <v>1836</v>
      </c>
      <c r="F22" s="7">
        <v>4341</v>
      </c>
    </row>
    <row r="23" spans="1:6" x14ac:dyDescent="0.25">
      <c r="A23" s="10"/>
      <c r="B23" t="s">
        <v>33</v>
      </c>
      <c r="C23" s="7">
        <v>2120</v>
      </c>
      <c r="D23" s="7">
        <v>5036</v>
      </c>
      <c r="E23" s="7">
        <v>4676</v>
      </c>
      <c r="F23" s="7">
        <v>11832</v>
      </c>
    </row>
    <row r="24" spans="1:6" x14ac:dyDescent="0.25">
      <c r="A24" s="10"/>
      <c r="B24" t="s">
        <v>34</v>
      </c>
      <c r="C24" s="7">
        <v>6</v>
      </c>
      <c r="D24" s="7">
        <v>3</v>
      </c>
      <c r="E24" s="7"/>
      <c r="F24" s="7">
        <v>9</v>
      </c>
    </row>
    <row r="25" spans="1:6" x14ac:dyDescent="0.25">
      <c r="A25" s="10"/>
      <c r="B25" t="s">
        <v>31</v>
      </c>
      <c r="C25" s="19">
        <v>254</v>
      </c>
      <c r="D25" s="19">
        <v>2008</v>
      </c>
      <c r="E25" s="19">
        <v>1966</v>
      </c>
      <c r="F25" s="19">
        <v>4228</v>
      </c>
    </row>
    <row r="26" spans="1:6" x14ac:dyDescent="0.25">
      <c r="A26" s="15" t="s">
        <v>49</v>
      </c>
      <c r="B26" s="16"/>
      <c r="C26" s="17">
        <v>2688</v>
      </c>
      <c r="D26" s="17">
        <v>9244</v>
      </c>
      <c r="E26" s="17">
        <v>8478</v>
      </c>
      <c r="F26" s="17">
        <v>20410</v>
      </c>
    </row>
    <row r="27" spans="1:6" x14ac:dyDescent="0.25">
      <c r="A27" s="15"/>
      <c r="B27" s="16"/>
      <c r="C27" s="18"/>
      <c r="D27" s="18"/>
      <c r="E27" s="18"/>
      <c r="F27" s="18"/>
    </row>
    <row r="28" spans="1:6" x14ac:dyDescent="0.25">
      <c r="A28" s="10" t="s">
        <v>5</v>
      </c>
      <c r="B28" t="s">
        <v>30</v>
      </c>
      <c r="C28" s="7">
        <v>222</v>
      </c>
      <c r="D28" s="7">
        <v>3169</v>
      </c>
      <c r="E28" s="7">
        <v>2130</v>
      </c>
      <c r="F28" s="7">
        <v>5521</v>
      </c>
    </row>
    <row r="29" spans="1:6" x14ac:dyDescent="0.25">
      <c r="A29" s="10"/>
      <c r="B29" t="s">
        <v>34</v>
      </c>
      <c r="C29" s="7">
        <v>6</v>
      </c>
      <c r="D29" s="7">
        <v>3</v>
      </c>
      <c r="E29" s="7">
        <v>6</v>
      </c>
      <c r="F29" s="7">
        <v>15</v>
      </c>
    </row>
    <row r="30" spans="1:6" x14ac:dyDescent="0.25">
      <c r="A30" s="10"/>
      <c r="B30" t="s">
        <v>31</v>
      </c>
      <c r="C30" s="19">
        <v>466</v>
      </c>
      <c r="D30" s="19">
        <v>5230</v>
      </c>
      <c r="E30" s="19">
        <v>6745</v>
      </c>
      <c r="F30" s="19">
        <v>12441</v>
      </c>
    </row>
    <row r="31" spans="1:6" x14ac:dyDescent="0.25">
      <c r="A31" s="15" t="s">
        <v>50</v>
      </c>
      <c r="B31" s="16"/>
      <c r="C31" s="17">
        <v>694</v>
      </c>
      <c r="D31" s="17">
        <v>8402</v>
      </c>
      <c r="E31" s="17">
        <v>8881</v>
      </c>
      <c r="F31" s="17">
        <v>17977</v>
      </c>
    </row>
    <row r="32" spans="1:6" x14ac:dyDescent="0.25">
      <c r="A32" s="15"/>
      <c r="B32" s="16"/>
      <c r="C32" s="18"/>
      <c r="D32" s="18"/>
      <c r="E32" s="18"/>
      <c r="F32" s="18"/>
    </row>
    <row r="33" spans="1:6" x14ac:dyDescent="0.25">
      <c r="A33" s="10" t="s">
        <v>6</v>
      </c>
      <c r="B33" t="s">
        <v>30</v>
      </c>
      <c r="C33" s="7">
        <v>392</v>
      </c>
      <c r="D33" s="7">
        <v>1605</v>
      </c>
      <c r="E33" s="7">
        <v>1676</v>
      </c>
      <c r="F33" s="7">
        <v>3673</v>
      </c>
    </row>
    <row r="34" spans="1:6" x14ac:dyDescent="0.25">
      <c r="A34" s="10"/>
      <c r="B34" t="s">
        <v>34</v>
      </c>
      <c r="C34" s="7">
        <v>21</v>
      </c>
      <c r="D34" s="7">
        <v>21</v>
      </c>
      <c r="E34" s="7">
        <v>18</v>
      </c>
      <c r="F34" s="7">
        <v>60</v>
      </c>
    </row>
    <row r="35" spans="1:6" x14ac:dyDescent="0.25">
      <c r="A35" s="10"/>
      <c r="B35" t="s">
        <v>31</v>
      </c>
      <c r="C35" s="19">
        <v>2494</v>
      </c>
      <c r="D35" s="19">
        <v>7746</v>
      </c>
      <c r="E35" s="19">
        <v>7429</v>
      </c>
      <c r="F35" s="19">
        <v>17669</v>
      </c>
    </row>
    <row r="36" spans="1:6" x14ac:dyDescent="0.25">
      <c r="A36" s="15" t="s">
        <v>51</v>
      </c>
      <c r="B36" s="16"/>
      <c r="C36" s="17">
        <v>2907</v>
      </c>
      <c r="D36" s="17">
        <v>9372</v>
      </c>
      <c r="E36" s="17">
        <v>9123</v>
      </c>
      <c r="F36" s="17">
        <v>21402</v>
      </c>
    </row>
    <row r="37" spans="1:6" x14ac:dyDescent="0.25">
      <c r="A37" s="15"/>
      <c r="B37" s="16"/>
      <c r="C37" s="18"/>
      <c r="D37" s="18"/>
      <c r="E37" s="18"/>
      <c r="F37" s="18"/>
    </row>
    <row r="38" spans="1:6" x14ac:dyDescent="0.25">
      <c r="A38" s="10" t="s">
        <v>39</v>
      </c>
      <c r="B38" t="s">
        <v>30</v>
      </c>
      <c r="C38" s="7">
        <v>99</v>
      </c>
      <c r="D38" s="7">
        <v>542</v>
      </c>
      <c r="E38" s="7">
        <v>669</v>
      </c>
      <c r="F38" s="7">
        <v>1310</v>
      </c>
    </row>
    <row r="39" spans="1:6" x14ac:dyDescent="0.25">
      <c r="A39" s="10"/>
      <c r="B39" t="s">
        <v>33</v>
      </c>
      <c r="C39" s="7">
        <v>6</v>
      </c>
      <c r="D39" s="7">
        <v>135</v>
      </c>
      <c r="E39" s="7">
        <v>147</v>
      </c>
      <c r="F39" s="7">
        <v>288</v>
      </c>
    </row>
    <row r="40" spans="1:6" x14ac:dyDescent="0.25">
      <c r="A40" s="10"/>
      <c r="B40" t="s">
        <v>34</v>
      </c>
      <c r="C40" s="7">
        <v>16</v>
      </c>
      <c r="D40" s="7">
        <v>8</v>
      </c>
      <c r="E40" s="7"/>
      <c r="F40" s="7">
        <v>24</v>
      </c>
    </row>
    <row r="41" spans="1:6" x14ac:dyDescent="0.25">
      <c r="A41" s="10"/>
      <c r="B41" t="s">
        <v>31</v>
      </c>
      <c r="C41" s="19">
        <v>2332</v>
      </c>
      <c r="D41" s="19">
        <v>6246</v>
      </c>
      <c r="E41" s="19">
        <v>5851</v>
      </c>
      <c r="F41" s="19">
        <v>14429</v>
      </c>
    </row>
    <row r="42" spans="1:6" x14ac:dyDescent="0.25">
      <c r="A42" s="15" t="s">
        <v>52</v>
      </c>
      <c r="B42" s="16"/>
      <c r="C42" s="17">
        <v>2453</v>
      </c>
      <c r="D42" s="17">
        <v>6931</v>
      </c>
      <c r="E42" s="17">
        <v>6667</v>
      </c>
      <c r="F42" s="17">
        <v>16051</v>
      </c>
    </row>
    <row r="43" spans="1:6" x14ac:dyDescent="0.25">
      <c r="A43" s="15"/>
      <c r="B43" s="16"/>
      <c r="C43" s="18"/>
      <c r="D43" s="18"/>
      <c r="E43" s="18"/>
      <c r="F43" s="18"/>
    </row>
    <row r="44" spans="1:6" x14ac:dyDescent="0.25">
      <c r="A44" s="10" t="s">
        <v>28</v>
      </c>
      <c r="C44" s="14">
        <v>16541</v>
      </c>
      <c r="D44" s="14">
        <v>60887</v>
      </c>
      <c r="E44" s="14">
        <v>60354</v>
      </c>
      <c r="F44" s="14">
        <f>F15+F20+F26+F31+F36+F42</f>
        <v>112181</v>
      </c>
    </row>
  </sheetData>
  <sheetProtection password="EC77" sheet="1" objects="1" scenarios="1"/>
  <mergeCells count="1">
    <mergeCell ref="C10:F10"/>
  </mergeCells>
  <pageMargins left="0.7" right="0.7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23" sqref="H23"/>
    </sheetView>
  </sheetViews>
  <sheetFormatPr defaultRowHeight="15" x14ac:dyDescent="0.25"/>
  <cols>
    <col min="1" max="1" width="32.7109375" customWidth="1"/>
    <col min="2" max="2" width="12.7109375" customWidth="1"/>
    <col min="3" max="3" width="14.28515625" bestFit="1" customWidth="1"/>
    <col min="4" max="5" width="12.7109375" customWidth="1"/>
  </cols>
  <sheetData>
    <row r="1" spans="1:5" x14ac:dyDescent="0.25">
      <c r="A1" s="44" t="s">
        <v>58</v>
      </c>
      <c r="B1" s="44"/>
      <c r="C1" s="44"/>
      <c r="D1" s="44"/>
      <c r="E1" s="44"/>
    </row>
    <row r="2" spans="1:5" x14ac:dyDescent="0.25">
      <c r="A2" s="24"/>
      <c r="B2" s="24"/>
      <c r="C2" s="24"/>
      <c r="D2" s="24"/>
      <c r="E2" s="24"/>
    </row>
    <row r="4" spans="1:5" x14ac:dyDescent="0.25">
      <c r="B4" s="1" t="s">
        <v>59</v>
      </c>
      <c r="C4" s="1" t="s">
        <v>60</v>
      </c>
      <c r="D4" s="1"/>
      <c r="E4" s="1"/>
    </row>
    <row r="5" spans="1:5" x14ac:dyDescent="0.25">
      <c r="A5" s="25" t="s">
        <v>61</v>
      </c>
      <c r="B5" s="1" t="s">
        <v>62</v>
      </c>
      <c r="C5" s="1" t="s">
        <v>62</v>
      </c>
      <c r="D5" s="1" t="s">
        <v>63</v>
      </c>
      <c r="E5" s="1" t="s">
        <v>64</v>
      </c>
    </row>
    <row r="6" spans="1:5" x14ac:dyDescent="0.25">
      <c r="A6" t="s">
        <v>65</v>
      </c>
      <c r="B6" s="26">
        <v>0.95</v>
      </c>
      <c r="C6" s="26">
        <v>0.94</v>
      </c>
      <c r="D6" s="26">
        <v>0.62</v>
      </c>
      <c r="E6" s="26">
        <v>1</v>
      </c>
    </row>
    <row r="7" spans="1:5" x14ac:dyDescent="0.25">
      <c r="A7" t="s">
        <v>66</v>
      </c>
      <c r="B7" s="26">
        <v>0.05</v>
      </c>
      <c r="C7" s="26">
        <v>0.06</v>
      </c>
      <c r="D7" s="26">
        <v>0.38</v>
      </c>
      <c r="E7" s="26">
        <v>0</v>
      </c>
    </row>
    <row r="8" spans="1:5" x14ac:dyDescent="0.25">
      <c r="A8" t="s">
        <v>67</v>
      </c>
      <c r="B8" s="26">
        <v>0.56000000000000005</v>
      </c>
      <c r="C8" s="26">
        <v>0.72</v>
      </c>
      <c r="D8" s="26">
        <v>0.94</v>
      </c>
      <c r="E8" s="26">
        <v>0.73</v>
      </c>
    </row>
    <row r="9" spans="1:5" x14ac:dyDescent="0.25">
      <c r="A9" t="s">
        <v>68</v>
      </c>
      <c r="B9" s="26">
        <v>0.44</v>
      </c>
      <c r="C9" s="26">
        <v>0.28000000000000003</v>
      </c>
      <c r="D9" s="26">
        <v>0.06</v>
      </c>
      <c r="E9" s="26">
        <v>0.27</v>
      </c>
    </row>
    <row r="10" spans="1:5" x14ac:dyDescent="0.25">
      <c r="B10" s="27"/>
      <c r="C10" s="27"/>
      <c r="D10" s="27"/>
      <c r="E10" s="27"/>
    </row>
    <row r="12" spans="1:5" x14ac:dyDescent="0.25">
      <c r="A12" t="s">
        <v>69</v>
      </c>
      <c r="B12" s="28">
        <f>([1]PERCRHR!B8)*B6*B8</f>
        <v>53.604320000000001</v>
      </c>
      <c r="C12" s="28">
        <f>([1]PERCRHR!B9)*C6*C8</f>
        <v>92.728367999999975</v>
      </c>
      <c r="D12" s="28">
        <f>([1]PERCRHR!B10)*D6*D8</f>
        <v>308.20795199999998</v>
      </c>
      <c r="E12" s="28">
        <f>([1]PERCRHR!B11)*E6*E8</f>
        <v>958.77470000000005</v>
      </c>
    </row>
    <row r="13" spans="1:5" x14ac:dyDescent="0.25">
      <c r="A13" t="s">
        <v>70</v>
      </c>
      <c r="B13" s="28">
        <f>([1]PERCRHR!D8)*B7*B8</f>
        <v>8.8510800000000014</v>
      </c>
      <c r="C13" s="28">
        <f>([1]PERCRHR!D9)*C7*C8</f>
        <v>15.221952</v>
      </c>
      <c r="D13" s="28">
        <f>([1]PERCRHR!D10)*D7*D8</f>
        <v>263.97437200000002</v>
      </c>
      <c r="E13" s="28">
        <f>([1]PERCRHR!D11)*E7*E8</f>
        <v>0</v>
      </c>
    </row>
    <row r="14" spans="1:5" x14ac:dyDescent="0.25">
      <c r="A14" t="s">
        <v>71</v>
      </c>
      <c r="B14" s="28">
        <f>([1]PERCRHR!C8)*B6*B9</f>
        <v>19.746320000000001</v>
      </c>
      <c r="C14" s="28">
        <f>([1]PERCRHR!C9)*C6*C9</f>
        <v>20.582240000000002</v>
      </c>
      <c r="D14" s="28">
        <f>([1]PERCRHR!C10)*D6*D9</f>
        <v>12.459396</v>
      </c>
      <c r="E14" s="28">
        <f>([1]PERCRHR!C11)*E6*E9</f>
        <v>271.32569999999998</v>
      </c>
    </row>
    <row r="15" spans="1:5" x14ac:dyDescent="0.25">
      <c r="A15" t="s">
        <v>72</v>
      </c>
      <c r="B15" s="28">
        <f>([1]PERCRHR!E8)*B7*B9</f>
        <v>1.03928</v>
      </c>
      <c r="C15" s="28">
        <f>([1]PERCRHR!E9)*C7*C9</f>
        <v>1.3137600000000003</v>
      </c>
      <c r="D15" s="28">
        <f>([1]PERCRHR!E10)*D7*D9</f>
        <v>7.6364040000000006</v>
      </c>
      <c r="E15" s="28">
        <f>([1]PERCRHR!E11)*E7*E9</f>
        <v>0</v>
      </c>
    </row>
    <row r="16" spans="1:5" x14ac:dyDescent="0.25">
      <c r="B16" s="28"/>
      <c r="C16" s="28"/>
      <c r="D16" s="28"/>
      <c r="E16" s="28"/>
    </row>
    <row r="17" spans="1:5" x14ac:dyDescent="0.25">
      <c r="A17" t="s">
        <v>73</v>
      </c>
      <c r="B17" s="28">
        <f>SUM(B12:B15)</f>
        <v>83.241000000000014</v>
      </c>
      <c r="C17" s="28">
        <f>SUM(C12:C15)</f>
        <v>129.84631999999999</v>
      </c>
      <c r="D17" s="28">
        <f>SUM(D12:D15)</f>
        <v>592.27812399999993</v>
      </c>
      <c r="E17" s="28">
        <f>SUM(E12:E15)</f>
        <v>1230.1004</v>
      </c>
    </row>
    <row r="19" spans="1:5" x14ac:dyDescent="0.25">
      <c r="A19" t="s">
        <v>74</v>
      </c>
    </row>
    <row r="20" spans="1:5" x14ac:dyDescent="0.25">
      <c r="A20" t="s">
        <v>75</v>
      </c>
      <c r="B20">
        <v>50</v>
      </c>
      <c r="C20">
        <v>50</v>
      </c>
      <c r="D20">
        <v>50</v>
      </c>
      <c r="E20">
        <v>10</v>
      </c>
    </row>
    <row r="21" spans="1:5" x14ac:dyDescent="0.25">
      <c r="A21" t="s">
        <v>76</v>
      </c>
      <c r="B21">
        <v>4</v>
      </c>
      <c r="C21">
        <v>4</v>
      </c>
      <c r="D21">
        <v>2</v>
      </c>
      <c r="E21">
        <v>2</v>
      </c>
    </row>
    <row r="22" spans="1:5" x14ac:dyDescent="0.25">
      <c r="A22" t="s">
        <v>77</v>
      </c>
      <c r="B22">
        <v>3</v>
      </c>
      <c r="C22">
        <v>3</v>
      </c>
      <c r="D22">
        <v>4.5</v>
      </c>
      <c r="E22">
        <v>4.5</v>
      </c>
    </row>
    <row r="24" spans="1:5" x14ac:dyDescent="0.25">
      <c r="A24" t="s">
        <v>78</v>
      </c>
      <c r="B24" s="28">
        <f>B17*B20*B21*B22</f>
        <v>49944.600000000013</v>
      </c>
      <c r="C24" s="28">
        <f>C17*C20*C21*C22</f>
        <v>77907.792000000001</v>
      </c>
      <c r="D24" s="28">
        <f>D17*D20*D21*D22</f>
        <v>266525.15579999995</v>
      </c>
      <c r="E24" s="28">
        <f>E17*E20*E21*E22</f>
        <v>110709.03600000001</v>
      </c>
    </row>
    <row r="27" spans="1:5" x14ac:dyDescent="0.25">
      <c r="A27" t="s">
        <v>79</v>
      </c>
    </row>
    <row r="28" spans="1:5" x14ac:dyDescent="0.25">
      <c r="A28" t="s">
        <v>75</v>
      </c>
      <c r="B28" s="7">
        <v>1500</v>
      </c>
      <c r="C28" s="7">
        <v>1500</v>
      </c>
    </row>
    <row r="29" spans="1:5" x14ac:dyDescent="0.25">
      <c r="A29" t="s">
        <v>76</v>
      </c>
      <c r="B29">
        <v>4</v>
      </c>
      <c r="C29">
        <v>4</v>
      </c>
    </row>
    <row r="30" spans="1:5" x14ac:dyDescent="0.25">
      <c r="A30" t="s">
        <v>77</v>
      </c>
      <c r="B30">
        <v>2</v>
      </c>
      <c r="C30">
        <v>2</v>
      </c>
    </row>
    <row r="32" spans="1:5" x14ac:dyDescent="0.25">
      <c r="A32" t="s">
        <v>80</v>
      </c>
      <c r="B32" s="28">
        <f>B17*B28*B29*B30</f>
        <v>998892.00000000012</v>
      </c>
      <c r="C32" s="28">
        <f>C17*C28*C29*C30</f>
        <v>1558155.8399999999</v>
      </c>
    </row>
    <row r="34" spans="1:1" x14ac:dyDescent="0.25">
      <c r="A34" s="5">
        <v>41816</v>
      </c>
    </row>
  </sheetData>
  <sheetProtection password="EC77" sheet="1" objects="1" scenarios="1"/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2" sqref="A2"/>
    </sheetView>
  </sheetViews>
  <sheetFormatPr defaultRowHeight="15" x14ac:dyDescent="0.25"/>
  <cols>
    <col min="1" max="1" width="65.7109375" customWidth="1"/>
    <col min="2" max="3" width="15.7109375" customWidth="1"/>
  </cols>
  <sheetData>
    <row r="1" spans="1:3" ht="18.75" x14ac:dyDescent="0.3">
      <c r="A1" s="45" t="s">
        <v>122</v>
      </c>
      <c r="B1" s="45"/>
      <c r="C1" s="45"/>
    </row>
    <row r="2" spans="1:3" x14ac:dyDescent="0.25">
      <c r="C2" s="29"/>
    </row>
    <row r="3" spans="1:3" x14ac:dyDescent="0.25">
      <c r="A3" s="30" t="s">
        <v>81</v>
      </c>
      <c r="B3" s="31"/>
      <c r="C3" s="29"/>
    </row>
    <row r="4" spans="1:3" ht="17.25" x14ac:dyDescent="0.4">
      <c r="A4" s="31" t="s">
        <v>82</v>
      </c>
      <c r="B4" s="39" t="s">
        <v>121</v>
      </c>
      <c r="C4" s="39" t="s">
        <v>119</v>
      </c>
    </row>
    <row r="5" spans="1:3" x14ac:dyDescent="0.25">
      <c r="A5" t="s">
        <v>83</v>
      </c>
      <c r="B5" s="29">
        <f>[2]Resources!B5+[2]Resources!B6</f>
        <v>33812219</v>
      </c>
      <c r="C5" s="29">
        <f>32569802+495934+375</f>
        <v>33066111</v>
      </c>
    </row>
    <row r="6" spans="1:3" x14ac:dyDescent="0.25">
      <c r="A6" t="s">
        <v>84</v>
      </c>
      <c r="B6" s="29">
        <f>[2]Resources!B7+[2]Resources!B27+[2]Resources!B32</f>
        <v>2898291</v>
      </c>
      <c r="C6" s="32">
        <f>1176764+36438+38201+280495+104643+141421+1382292+238352+59410+64100+691707+113458</f>
        <v>4327281</v>
      </c>
    </row>
    <row r="7" spans="1:3" x14ac:dyDescent="0.25">
      <c r="A7" t="s">
        <v>85</v>
      </c>
      <c r="B7" s="29">
        <f>[2]Resources!B8+[2]Resources!B9</f>
        <v>3023452</v>
      </c>
      <c r="C7" s="29">
        <f>2084392+939060</f>
        <v>3023452</v>
      </c>
    </row>
    <row r="8" spans="1:3" x14ac:dyDescent="0.25">
      <c r="A8" t="s">
        <v>86</v>
      </c>
      <c r="B8" s="29">
        <f>[2]Resources!B28+[2]Resources!B29+[2]Resources!B30+[2]Resources!B31</f>
        <v>991855</v>
      </c>
      <c r="C8" s="32">
        <f>162945+236430+255600</f>
        <v>654975</v>
      </c>
    </row>
    <row r="9" spans="1:3" x14ac:dyDescent="0.25">
      <c r="A9" t="s">
        <v>87</v>
      </c>
      <c r="B9" s="29">
        <f>[2]Resources!B33+[2]Resources!B34</f>
        <v>1149722</v>
      </c>
      <c r="C9" s="29">
        <f>381573+675788</f>
        <v>1057361</v>
      </c>
    </row>
    <row r="10" spans="1:3" ht="17.25" x14ac:dyDescent="0.4">
      <c r="A10" t="s">
        <v>88</v>
      </c>
      <c r="B10" s="34">
        <f>[2]Resources!B10+[2]Resources!B11+[2]Resources!B12+[2]Resources!B13</f>
        <v>850164</v>
      </c>
      <c r="C10" s="33">
        <f>-242742+749412+656079+110951+271690-2142386</f>
        <v>-596996</v>
      </c>
    </row>
    <row r="11" spans="1:3" x14ac:dyDescent="0.25">
      <c r="A11" t="s">
        <v>89</v>
      </c>
      <c r="B11" s="29">
        <f>SUM(B5:B10)</f>
        <v>42725703</v>
      </c>
      <c r="C11" s="29">
        <f>SUM(C5:C10)</f>
        <v>41532184</v>
      </c>
    </row>
    <row r="12" spans="1:3" x14ac:dyDescent="0.25">
      <c r="B12" s="29"/>
      <c r="C12" s="29"/>
    </row>
    <row r="13" spans="1:3" x14ac:dyDescent="0.25">
      <c r="A13" s="10" t="s">
        <v>90</v>
      </c>
      <c r="B13" s="29"/>
      <c r="C13" s="29"/>
    </row>
    <row r="14" spans="1:3" x14ac:dyDescent="0.25">
      <c r="A14" t="s">
        <v>91</v>
      </c>
      <c r="B14" s="29">
        <v>1812997</v>
      </c>
      <c r="C14" s="29">
        <v>1770812</v>
      </c>
    </row>
    <row r="15" spans="1:3" x14ac:dyDescent="0.25">
      <c r="A15" t="s">
        <v>92</v>
      </c>
      <c r="B15" s="29">
        <v>3515935</v>
      </c>
      <c r="C15" s="29">
        <v>3623681</v>
      </c>
    </row>
    <row r="16" spans="1:3" x14ac:dyDescent="0.25">
      <c r="A16" t="s">
        <v>93</v>
      </c>
      <c r="B16" s="29">
        <v>3538948</v>
      </c>
      <c r="C16" s="29">
        <v>3823480</v>
      </c>
    </row>
    <row r="17" spans="1:3" x14ac:dyDescent="0.25">
      <c r="A17" t="s">
        <v>94</v>
      </c>
      <c r="B17" s="29">
        <v>1522538</v>
      </c>
      <c r="C17" s="29">
        <v>1488239</v>
      </c>
    </row>
    <row r="18" spans="1:3" x14ac:dyDescent="0.25">
      <c r="A18" t="s">
        <v>95</v>
      </c>
      <c r="B18" s="29">
        <v>3681131</v>
      </c>
      <c r="C18" s="29">
        <v>3831930</v>
      </c>
    </row>
    <row r="19" spans="1:3" ht="17.25" x14ac:dyDescent="0.4">
      <c r="A19" t="s">
        <v>96</v>
      </c>
      <c r="B19" s="34">
        <v>149241</v>
      </c>
      <c r="C19" s="34">
        <v>84347</v>
      </c>
    </row>
    <row r="20" spans="1:3" x14ac:dyDescent="0.25">
      <c r="A20" t="s">
        <v>97</v>
      </c>
      <c r="B20" s="29">
        <f>SUM(B14:B19)</f>
        <v>14220790</v>
      </c>
      <c r="C20" s="29">
        <f>SUM(C14:C19)</f>
        <v>14622489</v>
      </c>
    </row>
    <row r="21" spans="1:3" x14ac:dyDescent="0.25">
      <c r="B21" s="29"/>
      <c r="C21" s="29"/>
    </row>
    <row r="22" spans="1:3" x14ac:dyDescent="0.25">
      <c r="A22" s="10" t="s">
        <v>98</v>
      </c>
      <c r="B22" s="35">
        <f>B11-B20</f>
        <v>28504913</v>
      </c>
      <c r="C22" s="35">
        <f>C11-C20</f>
        <v>26909695</v>
      </c>
    </row>
    <row r="23" spans="1:3" x14ac:dyDescent="0.25">
      <c r="B23" s="29"/>
      <c r="C23" s="29"/>
    </row>
    <row r="24" spans="1:3" x14ac:dyDescent="0.25">
      <c r="A24" s="30" t="s">
        <v>99</v>
      </c>
      <c r="B24" s="29"/>
      <c r="C24" s="29"/>
    </row>
    <row r="25" spans="1:3" x14ac:dyDescent="0.25">
      <c r="A25" t="s">
        <v>100</v>
      </c>
      <c r="B25" s="29">
        <f>20387920</f>
        <v>20387920</v>
      </c>
      <c r="C25" s="29">
        <f>22919260+333369+150000</f>
        <v>23402629</v>
      </c>
    </row>
    <row r="26" spans="1:3" x14ac:dyDescent="0.25">
      <c r="A26" s="36" t="s">
        <v>101</v>
      </c>
      <c r="B26" s="29">
        <v>663405</v>
      </c>
      <c r="C26" s="29">
        <f>345+270000+28600+9029</f>
        <v>307974</v>
      </c>
    </row>
    <row r="27" spans="1:3" x14ac:dyDescent="0.25">
      <c r="A27" s="36" t="s">
        <v>102</v>
      </c>
      <c r="B27" s="29">
        <v>5899664</v>
      </c>
      <c r="C27" s="29">
        <v>6049118</v>
      </c>
    </row>
    <row r="28" spans="1:3" x14ac:dyDescent="0.25">
      <c r="A28" s="36" t="s">
        <v>120</v>
      </c>
      <c r="B28" s="29">
        <v>282784</v>
      </c>
      <c r="C28" s="29"/>
    </row>
    <row r="29" spans="1:3" ht="17.25" x14ac:dyDescent="0.4">
      <c r="A29" s="36" t="s">
        <v>103</v>
      </c>
      <c r="B29" s="34">
        <f>1861271-1539475</f>
        <v>321796</v>
      </c>
      <c r="C29" s="34">
        <f>94193</f>
        <v>94193</v>
      </c>
    </row>
    <row r="30" spans="1:3" x14ac:dyDescent="0.25">
      <c r="A30" s="36" t="s">
        <v>104</v>
      </c>
      <c r="B30" s="35">
        <f>SUM(B25:B29)</f>
        <v>27555569</v>
      </c>
      <c r="C30" s="35">
        <f>SUM(C25:C29)</f>
        <v>29853914</v>
      </c>
    </row>
    <row r="31" spans="1:3" x14ac:dyDescent="0.25">
      <c r="B31" s="29"/>
      <c r="C31" s="29"/>
    </row>
    <row r="32" spans="1:3" x14ac:dyDescent="0.25">
      <c r="A32" s="10" t="s">
        <v>105</v>
      </c>
      <c r="B32" s="35">
        <f>B22+B30</f>
        <v>56060482</v>
      </c>
      <c r="C32" s="35">
        <f>C22+C30</f>
        <v>56763609</v>
      </c>
    </row>
    <row r="33" spans="1:3" x14ac:dyDescent="0.25">
      <c r="C33" s="29"/>
    </row>
    <row r="34" spans="1:3" x14ac:dyDescent="0.25">
      <c r="A34" s="5">
        <v>41870</v>
      </c>
      <c r="B34" s="5"/>
      <c r="C34" s="29"/>
    </row>
  </sheetData>
  <sheetProtection password="EC77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K19" sqref="K19"/>
    </sheetView>
  </sheetViews>
  <sheetFormatPr defaultRowHeight="15" x14ac:dyDescent="0.25"/>
  <cols>
    <col min="1" max="1" width="50.7109375" customWidth="1"/>
    <col min="2" max="3" width="15.7109375" customWidth="1"/>
  </cols>
  <sheetData>
    <row r="1" spans="1:3" ht="18.75" x14ac:dyDescent="0.3">
      <c r="A1" s="45" t="s">
        <v>123</v>
      </c>
      <c r="B1" s="45"/>
      <c r="C1" s="45"/>
    </row>
    <row r="2" spans="1:3" ht="18.75" x14ac:dyDescent="0.3">
      <c r="A2" s="37"/>
      <c r="B2" s="38"/>
      <c r="C2" s="37"/>
    </row>
    <row r="3" spans="1:3" x14ac:dyDescent="0.25">
      <c r="C3" s="29"/>
    </row>
    <row r="4" spans="1:3" ht="17.25" x14ac:dyDescent="0.4">
      <c r="A4" s="30" t="s">
        <v>106</v>
      </c>
      <c r="B4" s="39" t="s">
        <v>121</v>
      </c>
      <c r="C4" s="39" t="s">
        <v>119</v>
      </c>
    </row>
    <row r="5" spans="1:3" x14ac:dyDescent="0.25">
      <c r="A5" t="s">
        <v>107</v>
      </c>
      <c r="B5" s="29">
        <f>28504913</f>
        <v>28504913</v>
      </c>
      <c r="C5" s="29">
        <f>[3]Resources!B22</f>
        <v>26909695</v>
      </c>
    </row>
    <row r="6" spans="1:3" x14ac:dyDescent="0.25">
      <c r="A6" t="s">
        <v>108</v>
      </c>
      <c r="B6" s="29">
        <f>20387920</f>
        <v>20387920</v>
      </c>
      <c r="C6" s="29">
        <f>[3]Resources!B25</f>
        <v>23402629</v>
      </c>
    </row>
    <row r="7" spans="1:3" x14ac:dyDescent="0.25">
      <c r="A7" t="s">
        <v>101</v>
      </c>
      <c r="B7" s="29">
        <f>663405</f>
        <v>663405</v>
      </c>
      <c r="C7" s="29">
        <f>[3]Resources!B26</f>
        <v>307974</v>
      </c>
    </row>
    <row r="8" spans="1:3" x14ac:dyDescent="0.25">
      <c r="A8" t="s">
        <v>109</v>
      </c>
      <c r="B8" s="29">
        <f>5899664</f>
        <v>5899664</v>
      </c>
      <c r="C8" s="29">
        <f>[3]Resources!B27</f>
        <v>6049118</v>
      </c>
    </row>
    <row r="9" spans="1:3" x14ac:dyDescent="0.25">
      <c r="A9" t="s">
        <v>120</v>
      </c>
      <c r="B9" s="29">
        <f>282784</f>
        <v>282784</v>
      </c>
      <c r="C9" s="40">
        <v>0</v>
      </c>
    </row>
    <row r="10" spans="1:3" ht="17.25" x14ac:dyDescent="0.4">
      <c r="A10" t="s">
        <v>103</v>
      </c>
      <c r="B10" s="34">
        <f>321796</f>
        <v>321796</v>
      </c>
      <c r="C10" s="34">
        <f>[3]Resources!B28</f>
        <v>94193</v>
      </c>
    </row>
    <row r="11" spans="1:3" x14ac:dyDescent="0.25">
      <c r="A11" s="10" t="s">
        <v>110</v>
      </c>
      <c r="B11" s="35">
        <f>SUM(B5:B10)</f>
        <v>56060482</v>
      </c>
      <c r="C11" s="35">
        <f>SUM(C5:C10)</f>
        <v>56763609</v>
      </c>
    </row>
    <row r="12" spans="1:3" x14ac:dyDescent="0.25">
      <c r="C12" s="29"/>
    </row>
    <row r="13" spans="1:3" x14ac:dyDescent="0.25">
      <c r="C13" s="29"/>
    </row>
    <row r="14" spans="1:3" x14ac:dyDescent="0.25">
      <c r="A14" s="30" t="s">
        <v>111</v>
      </c>
      <c r="B14" s="31"/>
      <c r="C14" s="29"/>
    </row>
    <row r="15" spans="1:3" x14ac:dyDescent="0.25">
      <c r="A15" t="s">
        <v>112</v>
      </c>
      <c r="B15" s="29">
        <f>34774911+[2]Resources!B32+[2]Resources!B27</f>
        <v>35895240</v>
      </c>
      <c r="C15" s="29">
        <f>34147325+226321+691707+113458</f>
        <v>35178811</v>
      </c>
    </row>
    <row r="16" spans="1:3" x14ac:dyDescent="0.25">
      <c r="A16" t="s">
        <v>113</v>
      </c>
      <c r="B16" s="29">
        <f>6948558+1906844+533784+481181</f>
        <v>9870367</v>
      </c>
      <c r="C16" s="29">
        <f>7209242+2455456</f>
        <v>9664698</v>
      </c>
    </row>
    <row r="17" spans="1:3" x14ac:dyDescent="0.25">
      <c r="A17" t="s">
        <v>114</v>
      </c>
      <c r="B17" s="29">
        <f>7475911+85622+65000</f>
        <v>7626533</v>
      </c>
      <c r="C17" s="29">
        <v>9632521</v>
      </c>
    </row>
    <row r="18" spans="1:3" x14ac:dyDescent="0.25">
      <c r="A18" t="s">
        <v>115</v>
      </c>
      <c r="B18" s="29">
        <v>1093969</v>
      </c>
      <c r="C18" s="29">
        <v>1067620</v>
      </c>
    </row>
    <row r="19" spans="1:3" x14ac:dyDescent="0.25">
      <c r="A19" t="s">
        <v>116</v>
      </c>
      <c r="B19" s="41">
        <f>187839+387722+762000</f>
        <v>1337561</v>
      </c>
      <c r="C19" s="29">
        <f>[3]Resources!B9+202308</f>
        <v>1259669</v>
      </c>
    </row>
    <row r="20" spans="1:3" x14ac:dyDescent="0.25">
      <c r="C20" s="29"/>
    </row>
    <row r="21" spans="1:3" x14ac:dyDescent="0.25">
      <c r="A21" s="10" t="s">
        <v>117</v>
      </c>
      <c r="B21" s="35">
        <f>SUM(B15:B19)</f>
        <v>55823670</v>
      </c>
      <c r="C21" s="35">
        <f>SUM(C15:C19)</f>
        <v>56803319</v>
      </c>
    </row>
    <row r="22" spans="1:3" x14ac:dyDescent="0.25">
      <c r="B22" s="29"/>
      <c r="C22" s="29"/>
    </row>
    <row r="23" spans="1:3" x14ac:dyDescent="0.25">
      <c r="A23" s="10" t="s">
        <v>118</v>
      </c>
      <c r="B23" s="35">
        <f>B11-B21</f>
        <v>236812</v>
      </c>
      <c r="C23" s="35">
        <f>C11-C21</f>
        <v>-39710</v>
      </c>
    </row>
    <row r="24" spans="1:3" x14ac:dyDescent="0.25">
      <c r="C24" s="29"/>
    </row>
    <row r="25" spans="1:3" x14ac:dyDescent="0.25">
      <c r="C25" s="29"/>
    </row>
    <row r="26" spans="1:3" x14ac:dyDescent="0.25">
      <c r="A26" s="5">
        <v>41870</v>
      </c>
      <c r="B26" s="5"/>
      <c r="C26" s="29"/>
    </row>
  </sheetData>
  <sheetProtection password="EC77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A4EquivSec</vt:lpstr>
      <vt:lpstr>SCHSUM1314</vt:lpstr>
      <vt:lpstr>SCHSUM1213</vt:lpstr>
      <vt:lpstr>A3RCMREV</vt:lpstr>
      <vt:lpstr>A1WCBARESOURCES</vt:lpstr>
      <vt:lpstr>A2WCBAREVEXP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Gregor,Lori L</cp:lastModifiedBy>
  <cp:lastPrinted>2014-08-19T13:02:09Z</cp:lastPrinted>
  <dcterms:created xsi:type="dcterms:W3CDTF">2014-08-14T12:46:22Z</dcterms:created>
  <dcterms:modified xsi:type="dcterms:W3CDTF">2014-08-19T13:44:13Z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